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c:\pw_work\arcadispw01\natalie.sakian\d0241409\"/>
    </mc:Choice>
  </mc:AlternateContent>
  <xr:revisionPtr revIDLastSave="0" documentId="13_ncr:1_{822171C9-0B03-4DAC-AFAE-C6BCFF8548EA}" xr6:coauthVersionLast="47" xr6:coauthVersionMax="47" xr10:uidLastSave="{00000000-0000-0000-0000-000000000000}"/>
  <bookViews>
    <workbookView xWindow="-108" yWindow="-108" windowWidth="23256" windowHeight="13896" xr2:uid="{0F393B79-57FE-45EE-B8C0-8CF84BD1E035}"/>
  </bookViews>
  <sheets>
    <sheet name="Site 6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5" l="1"/>
  <c r="D40" i="5"/>
  <c r="D36" i="5"/>
  <c r="D37" i="5"/>
  <c r="D38" i="5"/>
  <c r="F36" i="5"/>
  <c r="F39" i="5"/>
  <c r="F31" i="5"/>
  <c r="D27" i="5"/>
  <c r="F27" i="5" s="1"/>
  <c r="F47" i="5"/>
  <c r="F48" i="5"/>
  <c r="F49" i="5"/>
  <c r="F50" i="5"/>
  <c r="F51" i="5"/>
  <c r="F52" i="5"/>
  <c r="F53" i="5"/>
  <c r="F54" i="5"/>
  <c r="D58" i="5"/>
  <c r="F58" i="5" s="1"/>
  <c r="F59" i="5"/>
  <c r="F57" i="5"/>
  <c r="D26" i="5" l="1"/>
  <c r="F26" i="5" s="1"/>
  <c r="F28" i="5"/>
  <c r="F33" i="5"/>
  <c r="F32" i="5"/>
  <c r="F30" i="5"/>
  <c r="F29" i="5"/>
  <c r="D25" i="5"/>
  <c r="F25" i="5" s="1"/>
  <c r="F24" i="5"/>
  <c r="D21" i="5" l="1"/>
  <c r="F46" i="5" l="1"/>
  <c r="F37" i="5"/>
  <c r="F38" i="5"/>
  <c r="F40" i="5"/>
  <c r="F17" i="5"/>
  <c r="X96" i="5"/>
  <c r="W96" i="5"/>
  <c r="X95" i="5"/>
  <c r="W95" i="5"/>
  <c r="X94" i="5"/>
  <c r="W94" i="5"/>
  <c r="X93" i="5"/>
  <c r="W93" i="5"/>
  <c r="X92" i="5"/>
  <c r="W92" i="5"/>
  <c r="X91" i="5"/>
  <c r="W91" i="5"/>
  <c r="X90" i="5"/>
  <c r="W90" i="5"/>
  <c r="S90" i="5"/>
  <c r="S91" i="5" s="1"/>
  <c r="X89" i="5"/>
  <c r="W89" i="5"/>
  <c r="S89" i="5"/>
  <c r="F66" i="5"/>
  <c r="F65" i="5"/>
  <c r="F64" i="5"/>
  <c r="F43" i="5"/>
  <c r="F42" i="5"/>
  <c r="F41" i="5"/>
  <c r="F21" i="5"/>
  <c r="F20" i="5"/>
  <c r="F16" i="5"/>
  <c r="F15" i="5"/>
  <c r="F14" i="5"/>
  <c r="Y89" i="5" l="1"/>
  <c r="Y90" i="5"/>
  <c r="Y91" i="5"/>
  <c r="Y92" i="5"/>
  <c r="Y96" i="5"/>
  <c r="Y94" i="5"/>
  <c r="Y95" i="5"/>
  <c r="Y93" i="5"/>
  <c r="F67" i="5"/>
  <c r="F69" i="5" s="1"/>
  <c r="S93" i="5"/>
  <c r="S92" i="5"/>
  <c r="S94" i="5" s="1"/>
  <c r="S95" i="5" s="1"/>
  <c r="S96" i="5" s="1"/>
  <c r="F68" i="5" l="1"/>
  <c r="F70" i="5" s="1"/>
  <c r="F72" i="5" s="1"/>
  <c r="F71" i="5" l="1"/>
</calcChain>
</file>

<file path=xl/sharedStrings.xml><?xml version="1.0" encoding="utf-8"?>
<sst xmlns="http://schemas.openxmlformats.org/spreadsheetml/2006/main" count="135" uniqueCount="95">
  <si>
    <t>ODOT ITEM</t>
  </si>
  <si>
    <t>ITEM DESCRIPTION</t>
  </si>
  <si>
    <t>UNIT</t>
  </si>
  <si>
    <t>QUANTITY</t>
  </si>
  <si>
    <t>UNIT COST</t>
  </si>
  <si>
    <t>ITEM TOTAL</t>
  </si>
  <si>
    <t>ROADWAY</t>
  </si>
  <si>
    <t>FT</t>
  </si>
  <si>
    <t>EACH</t>
  </si>
  <si>
    <t xml:space="preserve">EROSION CONTROL </t>
  </si>
  <si>
    <t>PAVEMENT</t>
  </si>
  <si>
    <t>DRAINAGE</t>
  </si>
  <si>
    <t>LIGHTING</t>
  </si>
  <si>
    <t>INCIDENTALS</t>
  </si>
  <si>
    <t>MAINTAINING TRAFFIC</t>
  </si>
  <si>
    <t>CONSTRUCTION LAYOUT STAKES AND SURVEYING</t>
  </si>
  <si>
    <t>MOBILIZATION</t>
  </si>
  <si>
    <t>TRAFFIC CONTROL</t>
  </si>
  <si>
    <t>CENTER LINE</t>
  </si>
  <si>
    <t>MILE</t>
  </si>
  <si>
    <t>STOP LINE</t>
  </si>
  <si>
    <t>CROSSWALK LINE (12")</t>
  </si>
  <si>
    <t>CROSSWALK LINE (24")</t>
  </si>
  <si>
    <t>DOTTED LINE, 6"</t>
  </si>
  <si>
    <t xml:space="preserve">CHANNELIZING LINE, 8" </t>
  </si>
  <si>
    <t xml:space="preserve">BIKE LANE SYMBOL MARKING </t>
  </si>
  <si>
    <t xml:space="preserve">TRANSVERSE/DIAGONAL LINE </t>
  </si>
  <si>
    <t>Conceptual Cost Estimate</t>
  </si>
  <si>
    <t>Subtotal</t>
  </si>
  <si>
    <t>Contingency (20%)</t>
  </si>
  <si>
    <t>Do inflation calculator and use the midpoint of construction as June 1, 2026</t>
  </si>
  <si>
    <t>Total Conceptual Cost</t>
  </si>
  <si>
    <t>Cost per Buildable Acre</t>
  </si>
  <si>
    <t>Cost per Parking Stall</t>
  </si>
  <si>
    <t>Buildable Acre</t>
  </si>
  <si>
    <t>Number of Parking Stalls</t>
  </si>
  <si>
    <t>CLEARING AND GRUBBING</t>
  </si>
  <si>
    <t>CURB, TYPE 7</t>
  </si>
  <si>
    <t>SEEDING AND MULCHING</t>
  </si>
  <si>
    <t>Notes:</t>
  </si>
  <si>
    <t>ODOT is providing tree removal through a GES contract</t>
  </si>
  <si>
    <t>EXCAVATION</t>
  </si>
  <si>
    <t>EMBANKMENT</t>
  </si>
  <si>
    <t>TOPSOIL</t>
  </si>
  <si>
    <t>CY</t>
  </si>
  <si>
    <t>SY</t>
  </si>
  <si>
    <t>LUMP</t>
  </si>
  <si>
    <t>LANDSCAPING</t>
  </si>
  <si>
    <t>Landscaping is 'if-applicable' (i.e. Storybook Trails, walking paths, landscaping, etc.)</t>
  </si>
  <si>
    <t>Asphalt:</t>
  </si>
  <si>
    <t>Concrete:</t>
  </si>
  <si>
    <t>Can be used for parking subsurface drainage</t>
  </si>
  <si>
    <t>TACK COAT</t>
  </si>
  <si>
    <t>GAL</t>
  </si>
  <si>
    <t>15" CONDUIT, TYPE C</t>
  </si>
  <si>
    <t>0.055 gal/SY</t>
  </si>
  <si>
    <t>6" AGGREGATE BASE</t>
  </si>
  <si>
    <t>10" of asphalt (448 PG 70-22; 441E50100) on 6" aggregate base (304)</t>
  </si>
  <si>
    <t>10" NON-REINFORCED CONCRETE PAVEMENT, CLASS QC 1P WITH QC/QA, AS PER PLAN</t>
  </si>
  <si>
    <t>10" of concrete (452 APP, dowels in both directions; 452E14021) on 6" aggregate base (304)</t>
  </si>
  <si>
    <t>CONCRETE MEDIAN</t>
  </si>
  <si>
    <t>SF</t>
  </si>
  <si>
    <t>609E71000</t>
  </si>
  <si>
    <t>609E28000</t>
  </si>
  <si>
    <t>4" CONCRETE WALK</t>
  </si>
  <si>
    <t>CONDUIT (INCLUDING TRENCHING, DISTRIBUTION AND BRACKET CABLE)</t>
  </si>
  <si>
    <t>Inflation (4.2%)</t>
  </si>
  <si>
    <t>ROCK CHANNEL PROTECTION, TYPE C, WITH GEOTEXTILE FABRIC</t>
  </si>
  <si>
    <t>CONCRETE MASONRY</t>
  </si>
  <si>
    <t>6" BASE PIPE UNDERDRAINS</t>
  </si>
  <si>
    <t>CATCH BASIN, NO. 3</t>
  </si>
  <si>
    <t>CATCH BASIN, NO. 3A</t>
  </si>
  <si>
    <t>MANHOLE, NO. 3 WITH 90" BASE I.D. AND 8" WEIR</t>
  </si>
  <si>
    <t>MANUFACTURED WATER QUALITY STRUCTURE, TYPE 2</t>
  </si>
  <si>
    <t>630E95000</t>
  </si>
  <si>
    <t>SIGNING, MISC.: GROUND MOUNTED POSTS FOR TRUCK SIGNAGE</t>
  </si>
  <si>
    <t>644E01200</t>
  </si>
  <si>
    <t>PARKING LOT STALL MARKING</t>
  </si>
  <si>
    <t>EDGE LINE, 6"</t>
  </si>
  <si>
    <t>PULL BOX, 725.08, 18"</t>
  </si>
  <si>
    <t>Truck Parking 26 - Southeast Region - Site 6 - PID 122885</t>
  </si>
  <si>
    <t>September 2nd, 2025</t>
  </si>
  <si>
    <t>Ross County, Ohio - District 9</t>
  </si>
  <si>
    <t>LIGHT POLE, CONVENTIONAL, AT8B35</t>
  </si>
  <si>
    <t>LIGHT TOWER, MISC.: LIGHT TOWER, B45</t>
  </si>
  <si>
    <t>LIGHT POLE FOUNDATION, 24"X8' DEEP</t>
  </si>
  <si>
    <t>LIGHT TOWER FOUNDATION, 36"X20' DEEP</t>
  </si>
  <si>
    <t>LUMINAIRE, HIGH MAST, SOLID STATE (LED), AS PER PLAN, 240V</t>
  </si>
  <si>
    <t>LUMINAIRE, CONVENTIONAL, SOLID STATE (LED), AS PER PLAN, 240V</t>
  </si>
  <si>
    <t>POWER SERVICE, AS PER PLAN</t>
  </si>
  <si>
    <t>12" CONDUIT, TYPE B</t>
  </si>
  <si>
    <t>MANHOLE, NO. 3</t>
  </si>
  <si>
    <t>6” ASPHALT CONCRETE BASE (449)</t>
  </si>
  <si>
    <t>2.5” ASPHALT CONCRETE INTERMEDIATE COURSE, 19 MM, TYPE A (446)</t>
  </si>
  <si>
    <t>1.5” ASPHALT CONCRETE SURFACE COURSE, 12.5 MM, TYPE A (446)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</si>
</sst>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4" fillId="0" borderId="0" xfId="0" applyFont="1"/>
    <xf numFmtId="164" fontId="0" fillId="0" borderId="2" xfId="0" applyNumberForma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4" xfId="0" applyNumberFormat="1" applyBorder="1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165" fontId="0" fillId="0" borderId="0" xfId="0" applyNumberFormat="1" applyAlignment="1">
      <alignment horizontal="center"/>
    </xf>
    <xf numFmtId="165" fontId="0" fillId="0" borderId="0" xfId="1" applyNumberFormat="1" applyFont="1" applyBorder="1" applyAlignment="1">
      <alignment horizontal="center"/>
    </xf>
    <xf numFmtId="165" fontId="5" fillId="0" borderId="0" xfId="0" applyNumberFormat="1" applyFont="1" applyAlignment="1">
      <alignment horizontal="left"/>
    </xf>
    <xf numFmtId="9" fontId="0" fillId="0" borderId="0" xfId="1" applyFont="1"/>
    <xf numFmtId="0" fontId="5" fillId="0" borderId="0" xfId="0" applyFont="1"/>
    <xf numFmtId="0" fontId="6" fillId="0" borderId="0" xfId="0" applyFont="1"/>
    <xf numFmtId="11" fontId="5" fillId="0" borderId="0" xfId="0" applyNumberFormat="1" applyFont="1"/>
    <xf numFmtId="0" fontId="7" fillId="0" borderId="0" xfId="0" applyFont="1"/>
    <xf numFmtId="0" fontId="8" fillId="0" borderId="17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9" xfId="0" applyFont="1" applyBorder="1" applyAlignment="1">
      <alignment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wrapText="1"/>
    </xf>
    <xf numFmtId="1" fontId="8" fillId="0" borderId="2" xfId="0" applyNumberFormat="1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7" fillId="0" borderId="19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" fontId="7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8" fillId="0" borderId="19" xfId="0" applyFont="1" applyBorder="1"/>
    <xf numFmtId="0" fontId="8" fillId="0" borderId="2" xfId="0" applyFont="1" applyBorder="1" applyAlignment="1">
      <alignment horizontal="center"/>
    </xf>
    <xf numFmtId="0" fontId="8" fillId="0" borderId="2" xfId="0" applyFont="1" applyBorder="1"/>
    <xf numFmtId="2" fontId="7" fillId="0" borderId="2" xfId="0" applyNumberFormat="1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3" fontId="7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1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/>
    </xf>
    <xf numFmtId="165" fontId="7" fillId="0" borderId="12" xfId="0" applyNumberFormat="1" applyFont="1" applyBorder="1" applyAlignment="1">
      <alignment horizontal="center"/>
    </xf>
    <xf numFmtId="165" fontId="7" fillId="0" borderId="16" xfId="0" applyNumberFormat="1" applyFont="1" applyBorder="1" applyAlignment="1">
      <alignment horizontal="center"/>
    </xf>
    <xf numFmtId="15" fontId="2" fillId="0" borderId="0" xfId="0" quotePrefix="1" applyNumberFormat="1" applyFont="1" applyAlignment="1">
      <alignment horizontal="center" vertical="center"/>
    </xf>
    <xf numFmtId="15" fontId="2" fillId="0" borderId="0" xfId="0" quotePrefix="1" applyNumberFormat="1" applyFont="1" applyAlignment="1">
      <alignment horizontal="right" vertical="center"/>
    </xf>
    <xf numFmtId="0" fontId="2" fillId="0" borderId="0" xfId="0" quotePrefix="1" applyFont="1" applyAlignment="1">
      <alignment horizontal="center" vertical="center"/>
    </xf>
    <xf numFmtId="165" fontId="7" fillId="0" borderId="12" xfId="1" applyNumberFormat="1" applyFont="1" applyFill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8" fillId="0" borderId="11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8" fillId="0" borderId="13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5" fontId="2" fillId="0" borderId="0" xfId="0" quotePrefix="1" applyNumberFormat="1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445770</xdr:colOff>
      <xdr:row>0</xdr:row>
      <xdr:rowOff>175260</xdr:rowOff>
    </xdr:from>
    <xdr:to>
      <xdr:col>5</xdr:col>
      <xdr:colOff>939588</xdr:colOff>
      <xdr:row>2</xdr:row>
      <xdr:rowOff>100762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4B3CED-10B7-4D2F-8AFE-59E247DA65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0290" y="175260"/>
          <a:ext cx="2642658" cy="2912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1771650</xdr:colOff>
      <xdr:row>3</xdr:row>
      <xdr:rowOff>85480</xdr:rowOff>
    </xdr:to>
    <xdr:pic>
      <xdr:nvPicPr>
        <xdr:cNvPr id="3" name="Picture 2" descr="Save the Date for the Ohio Active Transportation Conference - April 29 ...">
          <a:extLst>
            <a:ext uri="{FF2B5EF4-FFF2-40B4-BE49-F238E27FC236}">
              <a16:creationId xmlns:a16="http://schemas.microsoft.com/office/drawing/2014/main" id="{78817D56-9DAD-4FAB-8706-16AA8F6972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26970" cy="634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1DF35-D1B2-4257-A5FF-369521CC1E73}">
  <sheetPr codeName="Sheet3">
    <pageSetUpPr fitToPage="1"/>
  </sheetPr>
  <dimension ref="A1:Y96"/>
  <sheetViews>
    <sheetView tabSelected="1" topLeftCell="A50" zoomScaleNormal="100" workbookViewId="0">
      <selection activeCell="F41" sqref="F41"/>
    </sheetView>
  </sheetViews>
  <sheetFormatPr defaultRowHeight="14.4" x14ac:dyDescent="0.3"/>
  <cols>
    <col min="1" max="1" width="9.5546875" customWidth="1"/>
    <col min="2" max="2" width="73.33203125" bestFit="1" customWidth="1"/>
    <col min="4" max="4" width="10.109375" customWidth="1"/>
    <col min="5" max="5" width="12.109375" customWidth="1"/>
    <col min="6" max="6" width="15.109375" customWidth="1"/>
    <col min="7" max="7" width="13.44140625" customWidth="1"/>
    <col min="8" max="8" width="20.88671875" hidden="1" customWidth="1"/>
    <col min="10" max="10" width="10.109375" bestFit="1" customWidth="1"/>
  </cols>
  <sheetData>
    <row r="1" spans="1:8" x14ac:dyDescent="0.3">
      <c r="D1" s="72"/>
      <c r="E1" s="72"/>
      <c r="F1" s="72"/>
    </row>
    <row r="2" spans="1:8" x14ac:dyDescent="0.3">
      <c r="D2" s="72"/>
      <c r="E2" s="72"/>
      <c r="F2" s="72"/>
    </row>
    <row r="3" spans="1:8" x14ac:dyDescent="0.3">
      <c r="D3" s="72"/>
      <c r="E3" s="72"/>
      <c r="F3" s="72"/>
    </row>
    <row r="4" spans="1:8" ht="15.6" x14ac:dyDescent="0.3">
      <c r="A4" s="73" t="s">
        <v>27</v>
      </c>
      <c r="B4" s="73"/>
      <c r="C4" s="73"/>
      <c r="D4" s="73"/>
      <c r="E4" s="73"/>
      <c r="F4" s="73"/>
      <c r="G4" s="16"/>
    </row>
    <row r="5" spans="1:8" x14ac:dyDescent="0.3">
      <c r="A5" s="74" t="s">
        <v>82</v>
      </c>
      <c r="B5" s="74"/>
      <c r="C5" s="74"/>
      <c r="D5" s="74"/>
      <c r="E5" s="74"/>
      <c r="F5" s="74"/>
      <c r="G5" s="17"/>
    </row>
    <row r="6" spans="1:8" x14ac:dyDescent="0.3">
      <c r="A6" s="74" t="s">
        <v>80</v>
      </c>
      <c r="B6" s="74"/>
      <c r="C6" s="74"/>
      <c r="D6" s="74"/>
      <c r="E6" s="74"/>
      <c r="F6" s="74"/>
      <c r="G6" s="17"/>
    </row>
    <row r="7" spans="1:8" x14ac:dyDescent="0.3">
      <c r="A7" s="75" t="s">
        <v>81</v>
      </c>
      <c r="B7" s="75"/>
      <c r="C7" s="75"/>
      <c r="D7" s="75"/>
      <c r="E7" s="75"/>
      <c r="F7" s="75"/>
      <c r="G7" s="17"/>
    </row>
    <row r="8" spans="1:8" x14ac:dyDescent="0.3">
      <c r="A8" s="58"/>
      <c r="B8" s="58"/>
      <c r="C8" s="58"/>
      <c r="D8" s="58"/>
      <c r="E8" s="58"/>
      <c r="F8" s="58"/>
      <c r="G8" s="17"/>
    </row>
    <row r="9" spans="1:8" x14ac:dyDescent="0.3">
      <c r="A9" s="58"/>
      <c r="B9" s="59" t="s">
        <v>34</v>
      </c>
      <c r="C9" s="60">
        <v>5</v>
      </c>
      <c r="D9" s="58"/>
      <c r="E9" s="58"/>
      <c r="F9" s="58"/>
      <c r="G9" s="17"/>
    </row>
    <row r="10" spans="1:8" x14ac:dyDescent="0.3">
      <c r="A10" s="58"/>
      <c r="B10" s="59" t="s">
        <v>35</v>
      </c>
      <c r="C10" s="60">
        <v>51</v>
      </c>
      <c r="D10" s="58"/>
      <c r="E10" s="58"/>
      <c r="F10" s="58"/>
      <c r="G10" s="17"/>
    </row>
    <row r="11" spans="1:8" ht="15" thickBot="1" x14ac:dyDescent="0.35"/>
    <row r="12" spans="1:8" ht="28.8" x14ac:dyDescent="0.3">
      <c r="A12" s="27" t="s">
        <v>0</v>
      </c>
      <c r="B12" s="28" t="s">
        <v>1</v>
      </c>
      <c r="C12" s="28" t="s">
        <v>2</v>
      </c>
      <c r="D12" s="28" t="s">
        <v>3</v>
      </c>
      <c r="E12" s="28" t="s">
        <v>4</v>
      </c>
      <c r="F12" s="29" t="s">
        <v>5</v>
      </c>
      <c r="G12" s="17"/>
    </row>
    <row r="13" spans="1:8" ht="14.4" customHeight="1" x14ac:dyDescent="0.3">
      <c r="A13" s="30"/>
      <c r="B13" s="31" t="s">
        <v>6</v>
      </c>
      <c r="C13" s="32"/>
      <c r="D13" s="33"/>
      <c r="E13" s="32"/>
      <c r="F13" s="34"/>
      <c r="G13" s="18"/>
      <c r="H13" s="24" t="s">
        <v>39</v>
      </c>
    </row>
    <row r="14" spans="1:8" ht="14.4" customHeight="1" x14ac:dyDescent="0.3">
      <c r="A14" s="35">
        <v>201</v>
      </c>
      <c r="B14" s="36" t="s">
        <v>36</v>
      </c>
      <c r="C14" s="36" t="s">
        <v>46</v>
      </c>
      <c r="D14" s="37">
        <v>1</v>
      </c>
      <c r="E14" s="38">
        <v>20000</v>
      </c>
      <c r="F14" s="39">
        <f>D14*E14</f>
        <v>20000</v>
      </c>
      <c r="G14" s="14"/>
      <c r="H14" s="23" t="s">
        <v>40</v>
      </c>
    </row>
    <row r="15" spans="1:8" ht="14.4" customHeight="1" x14ac:dyDescent="0.3">
      <c r="A15" s="35">
        <v>203</v>
      </c>
      <c r="B15" s="36" t="s">
        <v>41</v>
      </c>
      <c r="C15" s="36" t="s">
        <v>44</v>
      </c>
      <c r="D15" s="37">
        <v>500</v>
      </c>
      <c r="E15" s="38">
        <v>35</v>
      </c>
      <c r="F15" s="39">
        <f t="shared" ref="F15:F66" si="0">D15*E15</f>
        <v>17500</v>
      </c>
      <c r="G15" s="14"/>
      <c r="H15" s="23"/>
    </row>
    <row r="16" spans="1:8" ht="14.4" customHeight="1" x14ac:dyDescent="0.3">
      <c r="A16" s="35">
        <v>203</v>
      </c>
      <c r="B16" s="36" t="s">
        <v>42</v>
      </c>
      <c r="C16" s="36" t="s">
        <v>44</v>
      </c>
      <c r="D16" s="37">
        <v>50000</v>
      </c>
      <c r="E16" s="38">
        <v>30</v>
      </c>
      <c r="F16" s="39">
        <f t="shared" si="0"/>
        <v>1500000</v>
      </c>
      <c r="G16" s="14"/>
    </row>
    <row r="17" spans="1:8" ht="14.4" customHeight="1" x14ac:dyDescent="0.3">
      <c r="A17" s="35">
        <v>608</v>
      </c>
      <c r="B17" s="36" t="s">
        <v>64</v>
      </c>
      <c r="C17" s="36" t="s">
        <v>61</v>
      </c>
      <c r="D17" s="37">
        <v>930</v>
      </c>
      <c r="E17" s="38">
        <v>20</v>
      </c>
      <c r="F17" s="39">
        <f t="shared" si="0"/>
        <v>18600</v>
      </c>
      <c r="G17" s="14"/>
    </row>
    <row r="18" spans="1:8" ht="14.4" customHeight="1" x14ac:dyDescent="0.3">
      <c r="A18" s="35"/>
      <c r="B18" s="40"/>
      <c r="C18" s="40"/>
      <c r="D18" s="41"/>
      <c r="E18" s="38"/>
      <c r="F18" s="39"/>
      <c r="G18" s="14"/>
    </row>
    <row r="19" spans="1:8" ht="14.4" customHeight="1" x14ac:dyDescent="0.3">
      <c r="A19" s="35"/>
      <c r="B19" s="31" t="s">
        <v>9</v>
      </c>
      <c r="C19" s="40"/>
      <c r="D19" s="41"/>
      <c r="E19" s="38"/>
      <c r="F19" s="39"/>
      <c r="G19" s="14"/>
    </row>
    <row r="20" spans="1:8" ht="14.4" customHeight="1" x14ac:dyDescent="0.3">
      <c r="A20" s="35">
        <v>659</v>
      </c>
      <c r="B20" s="42" t="s">
        <v>43</v>
      </c>
      <c r="C20" s="40" t="s">
        <v>44</v>
      </c>
      <c r="D20" s="41">
        <v>780</v>
      </c>
      <c r="E20" s="38">
        <v>65</v>
      </c>
      <c r="F20" s="39">
        <f t="shared" si="0"/>
        <v>50700</v>
      </c>
      <c r="G20" s="14"/>
    </row>
    <row r="21" spans="1:8" x14ac:dyDescent="0.3">
      <c r="A21" s="43">
        <v>659</v>
      </c>
      <c r="B21" s="42" t="s">
        <v>38</v>
      </c>
      <c r="C21" s="42" t="s">
        <v>45</v>
      </c>
      <c r="D21" s="44">
        <f>(9661.7797/9)+6500</f>
        <v>7573.5310777777777</v>
      </c>
      <c r="E21" s="38">
        <v>5</v>
      </c>
      <c r="F21" s="39">
        <f t="shared" si="0"/>
        <v>37867.655388888888</v>
      </c>
      <c r="G21" s="14"/>
    </row>
    <row r="22" spans="1:8" x14ac:dyDescent="0.3">
      <c r="A22" s="43"/>
      <c r="B22" s="42"/>
      <c r="C22" s="42"/>
      <c r="D22" s="44"/>
      <c r="E22" s="38"/>
      <c r="F22" s="39"/>
      <c r="G22" s="14"/>
    </row>
    <row r="23" spans="1:8" x14ac:dyDescent="0.3">
      <c r="A23" s="45"/>
      <c r="B23" s="46" t="s">
        <v>11</v>
      </c>
      <c r="C23" s="47"/>
      <c r="D23" s="44"/>
      <c r="E23" s="38"/>
      <c r="F23" s="39"/>
      <c r="G23" s="13"/>
    </row>
    <row r="24" spans="1:8" x14ac:dyDescent="0.3">
      <c r="A24" s="43">
        <v>601</v>
      </c>
      <c r="B24" s="42" t="s">
        <v>67</v>
      </c>
      <c r="C24" s="42" t="s">
        <v>44</v>
      </c>
      <c r="D24" s="48">
        <v>10</v>
      </c>
      <c r="E24" s="38">
        <v>150</v>
      </c>
      <c r="F24" s="39">
        <f t="shared" ref="F24:F33" si="1">D24*E24</f>
        <v>1500</v>
      </c>
      <c r="G24" s="13"/>
      <c r="H24" s="23"/>
    </row>
    <row r="25" spans="1:8" x14ac:dyDescent="0.3">
      <c r="A25" s="43">
        <v>602</v>
      </c>
      <c r="B25" s="42" t="s">
        <v>68</v>
      </c>
      <c r="C25" s="42" t="s">
        <v>44</v>
      </c>
      <c r="D25" s="48">
        <f>0.27+0.33</f>
        <v>0.60000000000000009</v>
      </c>
      <c r="E25" s="38">
        <v>1500</v>
      </c>
      <c r="F25" s="39">
        <f t="shared" si="1"/>
        <v>900.00000000000011</v>
      </c>
      <c r="G25" s="13"/>
      <c r="H25" s="23"/>
    </row>
    <row r="26" spans="1:8" x14ac:dyDescent="0.3">
      <c r="A26" s="43">
        <v>605</v>
      </c>
      <c r="B26" s="42" t="s">
        <v>69</v>
      </c>
      <c r="C26" s="42" t="s">
        <v>7</v>
      </c>
      <c r="D26" s="44">
        <f>D42</f>
        <v>1475</v>
      </c>
      <c r="E26" s="38">
        <v>20</v>
      </c>
      <c r="F26" s="39">
        <f t="shared" si="1"/>
        <v>29500</v>
      </c>
      <c r="G26" s="13"/>
      <c r="H26" s="23" t="s">
        <v>51</v>
      </c>
    </row>
    <row r="27" spans="1:8" x14ac:dyDescent="0.3">
      <c r="A27" s="43">
        <v>611</v>
      </c>
      <c r="B27" s="42" t="s">
        <v>90</v>
      </c>
      <c r="C27" s="42" t="s">
        <v>7</v>
      </c>
      <c r="D27" s="44">
        <f>133+53+87</f>
        <v>273</v>
      </c>
      <c r="E27" s="38">
        <v>120</v>
      </c>
      <c r="F27" s="39">
        <f t="shared" si="1"/>
        <v>32760</v>
      </c>
      <c r="G27" s="13"/>
      <c r="H27" s="23"/>
    </row>
    <row r="28" spans="1:8" x14ac:dyDescent="0.3">
      <c r="A28" s="43">
        <v>611</v>
      </c>
      <c r="B28" s="42" t="s">
        <v>54</v>
      </c>
      <c r="C28" s="42" t="s">
        <v>7</v>
      </c>
      <c r="D28" s="44">
        <v>109</v>
      </c>
      <c r="E28" s="38">
        <v>130</v>
      </c>
      <c r="F28" s="39">
        <f t="shared" si="1"/>
        <v>14170</v>
      </c>
      <c r="G28" s="15"/>
    </row>
    <row r="29" spans="1:8" x14ac:dyDescent="0.3">
      <c r="A29" s="43">
        <v>611</v>
      </c>
      <c r="B29" s="42" t="s">
        <v>70</v>
      </c>
      <c r="C29" s="42" t="s">
        <v>8</v>
      </c>
      <c r="D29" s="44">
        <v>1</v>
      </c>
      <c r="E29" s="38">
        <v>4800</v>
      </c>
      <c r="F29" s="39">
        <f t="shared" si="1"/>
        <v>4800</v>
      </c>
      <c r="G29" s="15"/>
    </row>
    <row r="30" spans="1:8" x14ac:dyDescent="0.3">
      <c r="A30" s="43">
        <v>611</v>
      </c>
      <c r="B30" s="42" t="s">
        <v>71</v>
      </c>
      <c r="C30" s="42" t="s">
        <v>8</v>
      </c>
      <c r="D30" s="44">
        <v>3</v>
      </c>
      <c r="E30" s="38">
        <v>3700</v>
      </c>
      <c r="F30" s="39">
        <f t="shared" si="1"/>
        <v>11100</v>
      </c>
      <c r="G30" s="15"/>
      <c r="H30" s="10"/>
    </row>
    <row r="31" spans="1:8" x14ac:dyDescent="0.3">
      <c r="A31" s="43">
        <v>611</v>
      </c>
      <c r="B31" s="42" t="s">
        <v>91</v>
      </c>
      <c r="C31" s="42" t="s">
        <v>8</v>
      </c>
      <c r="D31" s="44">
        <v>1</v>
      </c>
      <c r="E31" s="38">
        <v>5400</v>
      </c>
      <c r="F31" s="39">
        <f t="shared" si="1"/>
        <v>5400</v>
      </c>
      <c r="G31" s="15"/>
      <c r="H31" s="10"/>
    </row>
    <row r="32" spans="1:8" x14ac:dyDescent="0.3">
      <c r="A32" s="43">
        <v>611</v>
      </c>
      <c r="B32" s="42" t="s">
        <v>72</v>
      </c>
      <c r="C32" s="42" t="s">
        <v>8</v>
      </c>
      <c r="D32" s="44">
        <v>1</v>
      </c>
      <c r="E32" s="38">
        <v>14500</v>
      </c>
      <c r="F32" s="39">
        <f t="shared" si="1"/>
        <v>14500</v>
      </c>
      <c r="G32" s="15"/>
    </row>
    <row r="33" spans="1:8" x14ac:dyDescent="0.3">
      <c r="A33" s="43">
        <v>895</v>
      </c>
      <c r="B33" s="42" t="s">
        <v>73</v>
      </c>
      <c r="C33" s="42" t="s">
        <v>8</v>
      </c>
      <c r="D33" s="44">
        <v>1</v>
      </c>
      <c r="E33" s="38">
        <v>30000</v>
      </c>
      <c r="F33" s="39">
        <f t="shared" si="1"/>
        <v>30000</v>
      </c>
      <c r="G33" s="15"/>
    </row>
    <row r="34" spans="1:8" x14ac:dyDescent="0.3">
      <c r="A34" s="43"/>
      <c r="B34" s="42"/>
      <c r="C34" s="42"/>
      <c r="D34" s="44"/>
      <c r="E34" s="38"/>
      <c r="F34" s="39"/>
      <c r="G34" s="14"/>
    </row>
    <row r="35" spans="1:8" ht="14.4" customHeight="1" x14ac:dyDescent="0.3">
      <c r="A35" s="35"/>
      <c r="B35" s="31" t="s">
        <v>10</v>
      </c>
      <c r="C35" s="40"/>
      <c r="D35" s="41"/>
      <c r="E35" s="38"/>
      <c r="F35" s="39"/>
      <c r="G35" s="14"/>
      <c r="H35" s="24" t="s">
        <v>49</v>
      </c>
    </row>
    <row r="36" spans="1:8" ht="14.4" customHeight="1" x14ac:dyDescent="0.3">
      <c r="A36" s="35">
        <v>301</v>
      </c>
      <c r="B36" s="36" t="s">
        <v>92</v>
      </c>
      <c r="C36" s="40" t="s">
        <v>44</v>
      </c>
      <c r="D36" s="41">
        <f>(6/12)*164475.327/27</f>
        <v>3045.8393888888886</v>
      </c>
      <c r="E36" s="38">
        <v>278</v>
      </c>
      <c r="F36" s="39">
        <f t="shared" si="0"/>
        <v>846743.35011111107</v>
      </c>
      <c r="G36" s="14"/>
      <c r="H36" s="24"/>
    </row>
    <row r="37" spans="1:8" ht="14.4" customHeight="1" x14ac:dyDescent="0.3">
      <c r="A37" s="35">
        <v>304</v>
      </c>
      <c r="B37" s="36" t="s">
        <v>56</v>
      </c>
      <c r="C37" s="40" t="s">
        <v>44</v>
      </c>
      <c r="D37" s="41">
        <f>(6/12)*164475.327/27</f>
        <v>3045.8393888888886</v>
      </c>
      <c r="E37" s="38">
        <v>97</v>
      </c>
      <c r="F37" s="39">
        <f t="shared" si="0"/>
        <v>295446.42072222219</v>
      </c>
      <c r="G37" s="14"/>
      <c r="H37" s="23" t="s">
        <v>57</v>
      </c>
    </row>
    <row r="38" spans="1:8" ht="14.4" customHeight="1" x14ac:dyDescent="0.3">
      <c r="A38" s="35">
        <v>407</v>
      </c>
      <c r="B38" s="36" t="s">
        <v>52</v>
      </c>
      <c r="C38" s="40" t="s">
        <v>53</v>
      </c>
      <c r="D38" s="41">
        <f>(164475.327/9)*0.055</f>
        <v>1005.1269983333333</v>
      </c>
      <c r="E38" s="38">
        <v>5</v>
      </c>
      <c r="F38" s="39">
        <f t="shared" si="0"/>
        <v>5025.6349916666668</v>
      </c>
      <c r="G38" s="14"/>
      <c r="H38" s="23" t="s">
        <v>55</v>
      </c>
    </row>
    <row r="39" spans="1:8" ht="14.4" customHeight="1" x14ac:dyDescent="0.3">
      <c r="A39" s="35">
        <v>442</v>
      </c>
      <c r="B39" s="36" t="s">
        <v>94</v>
      </c>
      <c r="C39" s="40" t="s">
        <v>44</v>
      </c>
      <c r="D39" s="41">
        <f>(1.5/12)*164475.327/27</f>
        <v>761.45984722222215</v>
      </c>
      <c r="E39" s="38">
        <v>238</v>
      </c>
      <c r="F39" s="39">
        <f t="shared" si="0"/>
        <v>181227.44363888889</v>
      </c>
      <c r="G39" s="14"/>
      <c r="H39" s="23"/>
    </row>
    <row r="40" spans="1:8" ht="14.4" customHeight="1" x14ac:dyDescent="0.3">
      <c r="A40" s="35">
        <v>442</v>
      </c>
      <c r="B40" s="36" t="s">
        <v>93</v>
      </c>
      <c r="C40" s="40" t="s">
        <v>44</v>
      </c>
      <c r="D40" s="41">
        <f>(2.5/12)*164475.327/27</f>
        <v>1269.0997453703703</v>
      </c>
      <c r="E40" s="38">
        <v>214</v>
      </c>
      <c r="F40" s="39">
        <f t="shared" si="0"/>
        <v>271587.34550925926</v>
      </c>
      <c r="G40" s="14"/>
      <c r="H40" s="24" t="s">
        <v>50</v>
      </c>
    </row>
    <row r="41" spans="1:8" x14ac:dyDescent="0.3">
      <c r="A41" s="43">
        <v>452</v>
      </c>
      <c r="B41" s="26" t="s">
        <v>58</v>
      </c>
      <c r="C41" s="42" t="s">
        <v>44</v>
      </c>
      <c r="D41" s="44"/>
      <c r="E41" s="38">
        <v>200</v>
      </c>
      <c r="F41" s="39">
        <f t="shared" si="0"/>
        <v>0</v>
      </c>
      <c r="G41" s="14"/>
      <c r="H41" s="23" t="s">
        <v>59</v>
      </c>
    </row>
    <row r="42" spans="1:8" ht="14.4" customHeight="1" x14ac:dyDescent="0.3">
      <c r="A42" s="35">
        <v>609</v>
      </c>
      <c r="B42" s="36" t="s">
        <v>37</v>
      </c>
      <c r="C42" s="36" t="s">
        <v>7</v>
      </c>
      <c r="D42" s="37">
        <v>1475</v>
      </c>
      <c r="E42" s="38">
        <v>75</v>
      </c>
      <c r="F42" s="39">
        <f t="shared" si="0"/>
        <v>110625</v>
      </c>
      <c r="G42" s="14"/>
      <c r="H42" s="25" t="s">
        <v>63</v>
      </c>
    </row>
    <row r="43" spans="1:8" ht="14.4" customHeight="1" x14ac:dyDescent="0.3">
      <c r="A43" s="35">
        <v>609</v>
      </c>
      <c r="B43" s="36" t="s">
        <v>60</v>
      </c>
      <c r="C43" s="36" t="s">
        <v>61</v>
      </c>
      <c r="D43" s="37">
        <v>780</v>
      </c>
      <c r="E43" s="38">
        <v>65</v>
      </c>
      <c r="F43" s="39">
        <f t="shared" si="0"/>
        <v>50700</v>
      </c>
      <c r="G43" s="14"/>
      <c r="H43" s="25" t="s">
        <v>62</v>
      </c>
    </row>
    <row r="44" spans="1:8" x14ac:dyDescent="0.3">
      <c r="A44" s="43"/>
      <c r="B44" s="42"/>
      <c r="C44" s="42"/>
      <c r="D44" s="44"/>
      <c r="E44" s="38"/>
      <c r="F44" s="39"/>
      <c r="G44" s="15"/>
    </row>
    <row r="45" spans="1:8" x14ac:dyDescent="0.3">
      <c r="A45" s="45"/>
      <c r="B45" s="46" t="s">
        <v>12</v>
      </c>
      <c r="C45" s="47"/>
      <c r="D45" s="44"/>
      <c r="E45" s="38"/>
      <c r="F45" s="39"/>
      <c r="G45" s="15"/>
    </row>
    <row r="46" spans="1:8" x14ac:dyDescent="0.3">
      <c r="A46" s="49">
        <v>625</v>
      </c>
      <c r="B46" s="5" t="s">
        <v>65</v>
      </c>
      <c r="C46" s="9" t="s">
        <v>7</v>
      </c>
      <c r="D46" s="62">
        <v>2200</v>
      </c>
      <c r="E46" s="3">
        <v>35</v>
      </c>
      <c r="F46" s="39">
        <f t="shared" ref="F46:F54" si="2">D46*E46</f>
        <v>77000</v>
      </c>
      <c r="G46" s="15"/>
    </row>
    <row r="47" spans="1:8" x14ac:dyDescent="0.3">
      <c r="A47" s="49">
        <v>625</v>
      </c>
      <c r="B47" s="5" t="s">
        <v>83</v>
      </c>
      <c r="C47" s="9" t="s">
        <v>8</v>
      </c>
      <c r="D47" s="62">
        <v>4</v>
      </c>
      <c r="E47" s="3">
        <v>5000</v>
      </c>
      <c r="F47" s="39">
        <f t="shared" si="2"/>
        <v>20000</v>
      </c>
      <c r="G47" s="15"/>
    </row>
    <row r="48" spans="1:8" x14ac:dyDescent="0.3">
      <c r="A48" s="49">
        <v>625</v>
      </c>
      <c r="B48" s="5" t="s">
        <v>85</v>
      </c>
      <c r="C48" s="9" t="s">
        <v>8</v>
      </c>
      <c r="D48" s="62">
        <v>4</v>
      </c>
      <c r="E48" s="3">
        <v>3000</v>
      </c>
      <c r="F48" s="39">
        <f t="shared" si="2"/>
        <v>12000</v>
      </c>
      <c r="G48" s="15"/>
    </row>
    <row r="49" spans="1:10" x14ac:dyDescent="0.3">
      <c r="A49" s="49">
        <v>625</v>
      </c>
      <c r="B49" s="5" t="s">
        <v>86</v>
      </c>
      <c r="C49" s="9" t="s">
        <v>8</v>
      </c>
      <c r="D49" s="62">
        <v>11</v>
      </c>
      <c r="E49" s="3">
        <v>9000</v>
      </c>
      <c r="F49" s="39">
        <f t="shared" si="2"/>
        <v>99000</v>
      </c>
      <c r="G49" s="15"/>
    </row>
    <row r="50" spans="1:10" x14ac:dyDescent="0.3">
      <c r="A50" s="49">
        <v>625</v>
      </c>
      <c r="B50" s="5" t="s">
        <v>84</v>
      </c>
      <c r="C50" s="9" t="s">
        <v>8</v>
      </c>
      <c r="D50" s="62">
        <v>11</v>
      </c>
      <c r="E50" s="3">
        <v>20000</v>
      </c>
      <c r="F50" s="39">
        <f t="shared" si="2"/>
        <v>220000</v>
      </c>
      <c r="G50" s="15"/>
    </row>
    <row r="51" spans="1:10" x14ac:dyDescent="0.3">
      <c r="A51" s="49">
        <v>625</v>
      </c>
      <c r="B51" s="5" t="s">
        <v>87</v>
      </c>
      <c r="C51" s="9" t="s">
        <v>8</v>
      </c>
      <c r="D51" s="62">
        <v>11</v>
      </c>
      <c r="E51" s="3">
        <v>1500</v>
      </c>
      <c r="F51" s="39">
        <f t="shared" si="2"/>
        <v>16500</v>
      </c>
      <c r="G51" s="15"/>
    </row>
    <row r="52" spans="1:10" x14ac:dyDescent="0.3">
      <c r="A52" s="49">
        <v>625</v>
      </c>
      <c r="B52" s="5" t="s">
        <v>88</v>
      </c>
      <c r="C52" s="9" t="s">
        <v>8</v>
      </c>
      <c r="D52" s="62">
        <v>4</v>
      </c>
      <c r="E52" s="3">
        <v>900</v>
      </c>
      <c r="F52" s="39">
        <f t="shared" si="2"/>
        <v>3600</v>
      </c>
      <c r="G52" s="15"/>
    </row>
    <row r="53" spans="1:10" x14ac:dyDescent="0.3">
      <c r="A53" s="49">
        <v>625</v>
      </c>
      <c r="B53" s="5" t="s">
        <v>79</v>
      </c>
      <c r="C53" s="9" t="s">
        <v>8</v>
      </c>
      <c r="D53" s="62">
        <v>2</v>
      </c>
      <c r="E53" s="3">
        <v>1000</v>
      </c>
      <c r="F53" s="39">
        <f t="shared" si="2"/>
        <v>2000</v>
      </c>
      <c r="G53" s="15"/>
    </row>
    <row r="54" spans="1:10" x14ac:dyDescent="0.3">
      <c r="A54" s="49">
        <v>625</v>
      </c>
      <c r="B54" s="42" t="s">
        <v>89</v>
      </c>
      <c r="C54" s="50" t="s">
        <v>8</v>
      </c>
      <c r="D54" s="62">
        <v>1</v>
      </c>
      <c r="E54" s="38">
        <v>5000</v>
      </c>
      <c r="F54" s="39">
        <f t="shared" si="2"/>
        <v>5000</v>
      </c>
      <c r="G54" s="15"/>
    </row>
    <row r="55" spans="1:10" x14ac:dyDescent="0.3">
      <c r="A55" s="49"/>
      <c r="B55" s="42"/>
      <c r="C55" s="50"/>
      <c r="D55" s="51"/>
      <c r="E55" s="38"/>
      <c r="F55" s="39"/>
      <c r="G55" s="15"/>
      <c r="H55" s="10"/>
    </row>
    <row r="56" spans="1:10" x14ac:dyDescent="0.3">
      <c r="A56" s="43"/>
      <c r="B56" s="46" t="s">
        <v>17</v>
      </c>
      <c r="C56" s="42"/>
      <c r="D56" s="44"/>
      <c r="E56" s="38"/>
      <c r="F56" s="39"/>
      <c r="G56" s="15"/>
    </row>
    <row r="57" spans="1:10" x14ac:dyDescent="0.3">
      <c r="A57" s="43">
        <v>630</v>
      </c>
      <c r="B57" s="42" t="s">
        <v>75</v>
      </c>
      <c r="C57" s="42" t="s">
        <v>46</v>
      </c>
      <c r="D57" s="44">
        <v>1</v>
      </c>
      <c r="E57" s="38">
        <v>3000</v>
      </c>
      <c r="F57" s="39">
        <f t="shared" ref="F57:F59" si="3">D57*E57</f>
        <v>3000</v>
      </c>
      <c r="G57" s="15"/>
      <c r="H57" s="25" t="s">
        <v>74</v>
      </c>
    </row>
    <row r="58" spans="1:10" x14ac:dyDescent="0.3">
      <c r="A58" s="43">
        <v>644</v>
      </c>
      <c r="B58" s="42" t="s">
        <v>78</v>
      </c>
      <c r="C58" s="42" t="s">
        <v>19</v>
      </c>
      <c r="D58" s="48">
        <f>583.1274/5280</f>
        <v>0.11044079545454545</v>
      </c>
      <c r="E58" s="38">
        <v>8800</v>
      </c>
      <c r="F58" s="39">
        <f t="shared" si="3"/>
        <v>971.87900000000002</v>
      </c>
      <c r="G58" s="15"/>
      <c r="H58" s="25"/>
    </row>
    <row r="59" spans="1:10" x14ac:dyDescent="0.3">
      <c r="A59" s="43">
        <v>644</v>
      </c>
      <c r="B59" s="42" t="s">
        <v>77</v>
      </c>
      <c r="C59" s="42" t="s">
        <v>7</v>
      </c>
      <c r="D59" s="44">
        <v>4900</v>
      </c>
      <c r="E59" s="38">
        <v>2.5</v>
      </c>
      <c r="F59" s="39">
        <f t="shared" si="3"/>
        <v>12250</v>
      </c>
      <c r="G59" s="15"/>
      <c r="H59" s="25" t="s">
        <v>76</v>
      </c>
    </row>
    <row r="60" spans="1:10" x14ac:dyDescent="0.3">
      <c r="A60" s="49"/>
      <c r="B60" s="42"/>
      <c r="C60" s="50"/>
      <c r="D60" s="44"/>
      <c r="E60" s="38"/>
      <c r="F60" s="39"/>
      <c r="G60" s="15"/>
    </row>
    <row r="61" spans="1:10" x14ac:dyDescent="0.3">
      <c r="A61" s="49"/>
      <c r="B61" s="46" t="s">
        <v>47</v>
      </c>
      <c r="C61" s="50"/>
      <c r="D61" s="44"/>
      <c r="E61" s="38"/>
      <c r="F61" s="39"/>
      <c r="G61" s="15"/>
      <c r="H61" s="23" t="s">
        <v>48</v>
      </c>
    </row>
    <row r="62" spans="1:10" x14ac:dyDescent="0.3">
      <c r="A62" s="49"/>
      <c r="B62" s="42"/>
      <c r="C62" s="50"/>
      <c r="D62" s="44"/>
      <c r="E62" s="38"/>
      <c r="F62" s="39"/>
      <c r="G62" s="15"/>
    </row>
    <row r="63" spans="1:10" x14ac:dyDescent="0.3">
      <c r="A63" s="45"/>
      <c r="B63" s="46" t="s">
        <v>13</v>
      </c>
      <c r="C63" s="47"/>
      <c r="D63" s="52"/>
      <c r="E63" s="38"/>
      <c r="F63" s="39"/>
      <c r="G63" s="15"/>
    </row>
    <row r="64" spans="1:10" x14ac:dyDescent="0.3">
      <c r="A64" s="43">
        <v>614</v>
      </c>
      <c r="B64" s="42" t="s">
        <v>14</v>
      </c>
      <c r="C64" s="42" t="s">
        <v>46</v>
      </c>
      <c r="D64" s="44">
        <v>1</v>
      </c>
      <c r="E64" s="38">
        <v>35000</v>
      </c>
      <c r="F64" s="39">
        <f t="shared" si="0"/>
        <v>35000</v>
      </c>
      <c r="G64" s="15"/>
      <c r="J64" s="11"/>
    </row>
    <row r="65" spans="1:11" x14ac:dyDescent="0.3">
      <c r="A65" s="43">
        <v>623</v>
      </c>
      <c r="B65" s="42" t="s">
        <v>15</v>
      </c>
      <c r="C65" s="42" t="s">
        <v>46</v>
      </c>
      <c r="D65" s="44">
        <v>1</v>
      </c>
      <c r="E65" s="38">
        <v>20000</v>
      </c>
      <c r="F65" s="39">
        <f t="shared" si="0"/>
        <v>20000</v>
      </c>
      <c r="G65" s="15"/>
      <c r="J65" s="11"/>
    </row>
    <row r="66" spans="1:11" ht="15" thickBot="1" x14ac:dyDescent="0.35">
      <c r="A66" s="49">
        <v>624</v>
      </c>
      <c r="B66" s="50" t="s">
        <v>16</v>
      </c>
      <c r="C66" s="50" t="s">
        <v>46</v>
      </c>
      <c r="D66" s="53">
        <v>1</v>
      </c>
      <c r="E66" s="54">
        <v>110000</v>
      </c>
      <c r="F66" s="39">
        <f t="shared" si="0"/>
        <v>110000</v>
      </c>
      <c r="G66" s="15"/>
      <c r="J66" s="11"/>
    </row>
    <row r="67" spans="1:11" x14ac:dyDescent="0.3">
      <c r="A67" s="69" t="s">
        <v>28</v>
      </c>
      <c r="B67" s="70"/>
      <c r="C67" s="70"/>
      <c r="D67" s="70"/>
      <c r="E67" s="71"/>
      <c r="F67" s="55">
        <f>SUM(F14:F66)</f>
        <v>4186974.7293620366</v>
      </c>
      <c r="G67" s="19"/>
      <c r="H67" s="10"/>
    </row>
    <row r="68" spans="1:11" x14ac:dyDescent="0.3">
      <c r="A68" s="63" t="s">
        <v>29</v>
      </c>
      <c r="B68" s="64"/>
      <c r="C68" s="64"/>
      <c r="D68" s="64"/>
      <c r="E68" s="65"/>
      <c r="F68" s="56">
        <f>F67*0.2</f>
        <v>837394.94587240741</v>
      </c>
      <c r="G68" s="19"/>
    </row>
    <row r="69" spans="1:11" x14ac:dyDescent="0.3">
      <c r="A69" s="63" t="s">
        <v>66</v>
      </c>
      <c r="B69" s="64"/>
      <c r="C69" s="64"/>
      <c r="D69" s="64"/>
      <c r="E69" s="65"/>
      <c r="F69" s="56">
        <f>F67*G69</f>
        <v>175852.93863320554</v>
      </c>
      <c r="G69" s="22">
        <v>4.2000000000000003E-2</v>
      </c>
      <c r="H69" s="21" t="s">
        <v>30</v>
      </c>
    </row>
    <row r="70" spans="1:11" x14ac:dyDescent="0.3">
      <c r="A70" s="63" t="s">
        <v>31</v>
      </c>
      <c r="B70" s="64"/>
      <c r="C70" s="64"/>
      <c r="D70" s="64"/>
      <c r="E70" s="65"/>
      <c r="F70" s="56">
        <f>SUM(F67:F69)</f>
        <v>5200222.6138676498</v>
      </c>
      <c r="G70" s="19"/>
    </row>
    <row r="71" spans="1:11" x14ac:dyDescent="0.3">
      <c r="A71" s="63" t="s">
        <v>32</v>
      </c>
      <c r="B71" s="64"/>
      <c r="C71" s="64"/>
      <c r="D71" s="64"/>
      <c r="E71" s="65"/>
      <c r="F71" s="61">
        <f>F70/$C$9</f>
        <v>1040044.52277353</v>
      </c>
      <c r="G71" s="20"/>
      <c r="K71" s="2"/>
    </row>
    <row r="72" spans="1:11" ht="15" thickBot="1" x14ac:dyDescent="0.35">
      <c r="A72" s="66" t="s">
        <v>33</v>
      </c>
      <c r="B72" s="67"/>
      <c r="C72" s="67"/>
      <c r="D72" s="67"/>
      <c r="E72" s="68"/>
      <c r="F72" s="57">
        <f>F70/$C$10</f>
        <v>101965.14929152254</v>
      </c>
      <c r="G72" s="19"/>
    </row>
    <row r="88" spans="19:25" x14ac:dyDescent="0.3">
      <c r="S88" s="1"/>
      <c r="T88" s="6"/>
      <c r="U88" s="7" t="s">
        <v>17</v>
      </c>
      <c r="V88" s="6"/>
      <c r="W88" s="6"/>
      <c r="X88" s="3"/>
      <c r="Y88" s="8"/>
    </row>
    <row r="89" spans="19:25" x14ac:dyDescent="0.3">
      <c r="S89" s="4" t="e">
        <f>#REF!+1</f>
        <v>#REF!</v>
      </c>
      <c r="T89" s="9">
        <v>644</v>
      </c>
      <c r="U89" s="5" t="s">
        <v>18</v>
      </c>
      <c r="V89" s="9" t="s">
        <v>19</v>
      </c>
      <c r="W89" s="12">
        <f>0.18*1.15</f>
        <v>0.20699999999999999</v>
      </c>
      <c r="X89" s="3">
        <f t="shared" ref="X89:X96" si="4">AE89+AF89</f>
        <v>0</v>
      </c>
      <c r="Y89" s="8">
        <f t="shared" ref="Y89:Y96" si="5">X89*W89</f>
        <v>0</v>
      </c>
    </row>
    <row r="90" spans="19:25" x14ac:dyDescent="0.3">
      <c r="S90" s="4" t="e">
        <f>#REF!+1</f>
        <v>#REF!</v>
      </c>
      <c r="T90" s="9">
        <v>644</v>
      </c>
      <c r="U90" s="5" t="s">
        <v>20</v>
      </c>
      <c r="V90" s="9" t="s">
        <v>7</v>
      </c>
      <c r="W90" s="9">
        <f>ROUNDUP(1.15*165,0)</f>
        <v>190</v>
      </c>
      <c r="X90" s="3">
        <f t="shared" si="4"/>
        <v>0</v>
      </c>
      <c r="Y90" s="8">
        <f t="shared" si="5"/>
        <v>0</v>
      </c>
    </row>
    <row r="91" spans="19:25" x14ac:dyDescent="0.3">
      <c r="S91" s="4" t="e">
        <f t="shared" ref="S91:S96" si="6">S90+1</f>
        <v>#REF!</v>
      </c>
      <c r="T91" s="9">
        <v>644</v>
      </c>
      <c r="U91" s="5" t="s">
        <v>21</v>
      </c>
      <c r="V91" s="9" t="s">
        <v>7</v>
      </c>
      <c r="W91" s="9">
        <f>ROUNDUP(1.15*1028,0)</f>
        <v>1183</v>
      </c>
      <c r="X91" s="3">
        <f t="shared" si="4"/>
        <v>0</v>
      </c>
      <c r="Y91" s="8">
        <f t="shared" si="5"/>
        <v>0</v>
      </c>
    </row>
    <row r="92" spans="19:25" x14ac:dyDescent="0.3">
      <c r="S92" s="4" t="e">
        <f t="shared" si="6"/>
        <v>#REF!</v>
      </c>
      <c r="T92" s="9">
        <v>644</v>
      </c>
      <c r="U92" s="5" t="s">
        <v>22</v>
      </c>
      <c r="V92" s="9" t="s">
        <v>7</v>
      </c>
      <c r="W92" s="9">
        <f>ROUNDUP(1.15*23,0)</f>
        <v>27</v>
      </c>
      <c r="X92" s="3">
        <f t="shared" si="4"/>
        <v>0</v>
      </c>
      <c r="Y92" s="8">
        <f t="shared" si="5"/>
        <v>0</v>
      </c>
    </row>
    <row r="93" spans="19:25" x14ac:dyDescent="0.3">
      <c r="S93" s="4" t="e">
        <f>S91+1</f>
        <v>#REF!</v>
      </c>
      <c r="T93" s="9">
        <v>644</v>
      </c>
      <c r="U93" s="5" t="s">
        <v>23</v>
      </c>
      <c r="V93" s="9" t="s">
        <v>7</v>
      </c>
      <c r="W93" s="9">
        <f>ROUNDUP(1.15*145,0)</f>
        <v>167</v>
      </c>
      <c r="X93" s="3">
        <f t="shared" si="4"/>
        <v>0</v>
      </c>
      <c r="Y93" s="8">
        <f t="shared" si="5"/>
        <v>0</v>
      </c>
    </row>
    <row r="94" spans="19:25" x14ac:dyDescent="0.3">
      <c r="S94" s="4" t="e">
        <f>S92+1</f>
        <v>#REF!</v>
      </c>
      <c r="T94" s="9">
        <v>644</v>
      </c>
      <c r="U94" s="5" t="s">
        <v>24</v>
      </c>
      <c r="V94" s="9" t="s">
        <v>7</v>
      </c>
      <c r="W94" s="9">
        <f>ROUNDUP(1.15*287,0)</f>
        <v>331</v>
      </c>
      <c r="X94" s="3">
        <f t="shared" si="4"/>
        <v>0</v>
      </c>
      <c r="Y94" s="8">
        <f t="shared" si="5"/>
        <v>0</v>
      </c>
    </row>
    <row r="95" spans="19:25" x14ac:dyDescent="0.3">
      <c r="S95" s="4" t="e">
        <f t="shared" si="6"/>
        <v>#REF!</v>
      </c>
      <c r="T95" s="9">
        <v>644</v>
      </c>
      <c r="U95" s="5" t="s">
        <v>25</v>
      </c>
      <c r="V95" s="9" t="s">
        <v>8</v>
      </c>
      <c r="W95" s="9">
        <f>ROUNDUP(1.15*13,0)</f>
        <v>15</v>
      </c>
      <c r="X95" s="3">
        <f t="shared" si="4"/>
        <v>0</v>
      </c>
      <c r="Y95" s="8">
        <f t="shared" si="5"/>
        <v>0</v>
      </c>
    </row>
    <row r="96" spans="19:25" x14ac:dyDescent="0.3">
      <c r="S96" s="4" t="e">
        <f t="shared" si="6"/>
        <v>#REF!</v>
      </c>
      <c r="T96" s="9">
        <v>646</v>
      </c>
      <c r="U96" s="5" t="s">
        <v>26</v>
      </c>
      <c r="V96" s="9" t="s">
        <v>7</v>
      </c>
      <c r="W96" s="9">
        <f>ROUNDUP(1.15*287,0)</f>
        <v>331</v>
      </c>
      <c r="X96" s="3">
        <f t="shared" si="4"/>
        <v>0</v>
      </c>
      <c r="Y96" s="8">
        <f t="shared" si="5"/>
        <v>0</v>
      </c>
    </row>
  </sheetData>
  <mergeCells count="11">
    <mergeCell ref="A67:E67"/>
    <mergeCell ref="D1:F3"/>
    <mergeCell ref="A4:F4"/>
    <mergeCell ref="A5:F5"/>
    <mergeCell ref="A6:F6"/>
    <mergeCell ref="A7:F7"/>
    <mergeCell ref="A68:E68"/>
    <mergeCell ref="A69:E69"/>
    <mergeCell ref="A70:E70"/>
    <mergeCell ref="A71:E71"/>
    <mergeCell ref="A72:E72"/>
  </mergeCells>
  <printOptions horizontalCentered="1" verticalCentered="1"/>
  <pageMargins left="0.7" right="0.7" top="0.75" bottom="0.75" header="0.3" footer="0.3"/>
  <pageSetup scale="2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rcadis Document" ma:contentTypeID="0x010100B461F6A611BD4B3683134864140FA5460096130B60DAEA804580CE41BEA291944B" ma:contentTypeVersion="5" ma:contentTypeDescription=" " ma:contentTypeScope="" ma:versionID="a31b0302a7d5314a49edbb4c0755b348">
  <xsd:schema xmlns:xsd="http://www.w3.org/2001/XMLSchema" xmlns:xs="http://www.w3.org/2001/XMLSchema" xmlns:p="http://schemas.microsoft.com/office/2006/metadata/properties" xmlns:ns2="c0cf1c64-bab4-4c78-ba37-a79d2a8bdb6f" xmlns:ns3="f4140fe8-66a4-4e14-a1f2-b09e93ff2fc2" targetNamespace="http://schemas.microsoft.com/office/2006/metadata/properties" ma:root="true" ma:fieldsID="33217238da1bc245dfc6cd03c1828473" ns2:_="" ns3:_="">
    <xsd:import namespace="c0cf1c64-bab4-4c78-ba37-a79d2a8bdb6f"/>
    <xsd:import namespace="f4140fe8-66a4-4e14-a1f2-b09e93ff2fc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m9ab48ff457747d2978187f0c89531d3" minOccurs="0"/>
                <xsd:element ref="ns2:TaxCatchAll" minOccurs="0"/>
                <xsd:element ref="ns2:TaxCatchAllLabel" minOccurs="0"/>
                <xsd:element ref="ns2:PH_ApprovalStatus" minOccurs="0"/>
                <xsd:element ref="ns2:PH_ApprovalComment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f1c64-bab4-4c78-ba37-a79d2a8bdb6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m9ab48ff457747d2978187f0c89531d3" ma:index="11" nillable="true" ma:taxonomy="true" ma:internalName="m9ab48ff457747d2978187f0c89531d3" ma:taxonomyFieldName="PH_DocumentType" ma:displayName="Document type" ma:fieldId="{69ab48ff-4577-47d2-9781-87f0c89531d3}" ma:taxonomyMulti="true" ma:sspId="f35aeea7-e848-442f-a6c3-04e7a31ee3df" ma:termSetId="2be59371-a910-4df7-9b6b-b17e82a11a61" ma:anchorId="c38da1d8-d4e5-423a-8e02-92e13b7a269b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4116135-26fa-4cc1-8f23-b42986fbb46d}" ma:internalName="TaxCatchAll" ma:showField="CatchAllData" ma:web="c0cf1c64-bab4-4c78-ba37-a79d2a8bdb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4116135-26fa-4cc1-8f23-b42986fbb46d}" ma:internalName="TaxCatchAllLabel" ma:readOnly="true" ma:showField="CatchAllDataLabel" ma:web="c0cf1c64-bab4-4c78-ba37-a79d2a8bdb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H_ApprovalStatus" ma:index="15" nillable="true" ma:displayName="Approval Status" ma:default="Draft" ma:format="Dropdown" ma:hidden="true" ma:internalName="PH_ApprovalStatus" ma:readOnly="false">
      <xsd:simpleType>
        <xsd:restriction base="dms:Choice">
          <xsd:enumeration value="Draft"/>
          <xsd:enumeration value="Initializing"/>
          <xsd:enumeration value="Pending"/>
          <xsd:enumeration value="Pending Approval"/>
          <xsd:enumeration value="Pending Review"/>
          <xsd:enumeration value="Approved"/>
          <xsd:enumeration value="Rejected"/>
          <xsd:enumeration value="Review Approved"/>
          <xsd:enumeration value="Review Rejected"/>
          <xsd:enumeration value="Cancelled"/>
        </xsd:restriction>
      </xsd:simpleType>
    </xsd:element>
    <xsd:element name="PH_ApprovalComments" ma:index="17" nillable="true" ma:displayName="Approval Comments" ma:description="Approval Comments" ma:internalName="PH_ApprovalComments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140fe8-66a4-4e14-a1f2-b09e93ff2f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9ab48ff457747d2978187f0c89531d3 xmlns="c0cf1c64-bab4-4c78-ba37-a79d2a8bdb6f">
      <Terms xmlns="http://schemas.microsoft.com/office/infopath/2007/PartnerControls"/>
    </m9ab48ff457747d2978187f0c89531d3>
    <PH_ApprovalStatus xmlns="c0cf1c64-bab4-4c78-ba37-a79d2a8bdb6f">Draft</PH_ApprovalStatus>
    <TaxCatchAll xmlns="c0cf1c64-bab4-4c78-ba37-a79d2a8bdb6f" xsi:nil="true"/>
    <PH_ApprovalComments xmlns="c0cf1c64-bab4-4c78-ba37-a79d2a8bdb6f" xsi:nil="true"/>
    <_dlc_DocId xmlns="c0cf1c64-bab4-4c78-ba37-a79d2a8bdb6f">S72DJAPYWNSA-790141927-92</_dlc_DocId>
    <_dlc_DocIdUrl xmlns="c0cf1c64-bab4-4c78-ba37-a79d2a8bdb6f">
      <Url>https://arcadiso365.sharepoint.com/teams/ch-30224704/_layouts/15/DocIdRedir.aspx?ID=S72DJAPYWNSA-790141927-92</Url>
      <Description>S72DJAPYWNSA-790141927-92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400EEB-DD2B-4F39-9E26-162F17D51308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5EE9B0F-9678-4843-96A0-7D274DEB30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f1c64-bab4-4c78-ba37-a79d2a8bdb6f"/>
    <ds:schemaRef ds:uri="f4140fe8-66a4-4e14-a1f2-b09e93ff2f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F8032B-9360-4FF9-864B-FF7143529980}">
  <ds:schemaRefs>
    <ds:schemaRef ds:uri="http://purl.org/dc/terms/"/>
    <ds:schemaRef ds:uri="f4140fe8-66a4-4e14-a1f2-b09e93ff2fc2"/>
    <ds:schemaRef ds:uri="http://schemas.microsoft.com/office/2006/metadata/properties"/>
    <ds:schemaRef ds:uri="http://purl.org/dc/elements/1.1/"/>
    <ds:schemaRef ds:uri="http://schemas.microsoft.com/office/infopath/2007/PartnerControls"/>
    <ds:schemaRef ds:uri="c0cf1c64-bab4-4c78-ba37-a79d2a8bdb6f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A227E37-7546-4191-8099-51C937E32E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Site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Maag, Sydney</dc:creator>
  <cp:keywords/>
  <dc:description/>
  <cp:lastModifiedBy>Sakian, Natalie</cp:lastModifiedBy>
  <cp:revision/>
  <cp:lastPrinted>2025-06-11T20:27:24Z</cp:lastPrinted>
  <dcterms:created xsi:type="dcterms:W3CDTF">2024-10-02T18:25:26Z</dcterms:created>
  <dcterms:modified xsi:type="dcterms:W3CDTF">2025-09-02T21:10:07Z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ContentTypeId">
    <vt:lpwstr>0x010100B461F6A611BD4B3683134864140FA5460096130B60DAEA804580CE41BEA291944B</vt:lpwstr>
  </property>
  <property fmtid="{D5CDD505-2E9C-101B-9397-08002B2CF9AE}" pid="37" name="_dlc_DocIdItemGuid">
    <vt:lpwstr>2bfdfce3-29d5-4cc2-aaba-882287a68b14</vt:lpwstr>
  </property>
  <property fmtid="{D5CDD505-2E9C-101B-9397-08002B2CF9AE}" pid="38" name="PH_DocumentType">
    <vt:lpwstr/>
  </property>
</Properties>
</file>